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E 2020.03.13\GZ Narol\gaz #4 przetarg\"/>
    </mc:Choice>
  </mc:AlternateContent>
  <xr:revisionPtr revIDLastSave="0" documentId="13_ncr:1_{1B413970-C959-42CF-860E-BFCD5D547D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Arkusz1!$A$5:$AA$30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T14" i="1"/>
  <c r="T13" i="1"/>
  <c r="V12" i="1"/>
  <c r="V9" i="1"/>
  <c r="V7" i="1"/>
  <c r="I27" i="1"/>
  <c r="Z15" i="1"/>
  <c r="V15" i="1"/>
  <c r="T15" i="1"/>
  <c r="P15" i="1"/>
  <c r="R15" i="1" s="1"/>
  <c r="N15" i="1"/>
  <c r="Z14" i="1"/>
  <c r="V14" i="1"/>
  <c r="P14" i="1"/>
  <c r="N14" i="1"/>
  <c r="Z25" i="1"/>
  <c r="V25" i="1"/>
  <c r="T25" i="1"/>
  <c r="P25" i="1"/>
  <c r="N25" i="1"/>
  <c r="Z26" i="1"/>
  <c r="T26" i="1"/>
  <c r="P26" i="1"/>
  <c r="V26" i="1"/>
  <c r="Z24" i="1"/>
  <c r="P24" i="1"/>
  <c r="Z23" i="1"/>
  <c r="P23" i="1"/>
  <c r="T23" i="1"/>
  <c r="V23" i="1"/>
  <c r="Z22" i="1"/>
  <c r="P22" i="1"/>
  <c r="Z21" i="1"/>
  <c r="P21" i="1"/>
  <c r="T21" i="1"/>
  <c r="V21" i="1"/>
  <c r="Z20" i="1"/>
  <c r="P20" i="1"/>
  <c r="Z19" i="1"/>
  <c r="T19" i="1"/>
  <c r="P19" i="1"/>
  <c r="V19" i="1"/>
  <c r="Z18" i="1"/>
  <c r="P18" i="1"/>
  <c r="Z17" i="1"/>
  <c r="P17" i="1"/>
  <c r="T17" i="1"/>
  <c r="V17" i="1"/>
  <c r="Z16" i="1"/>
  <c r="P16" i="1"/>
  <c r="Z13" i="1"/>
  <c r="P13" i="1"/>
  <c r="V13" i="1"/>
  <c r="Z12" i="1"/>
  <c r="Z11" i="1"/>
  <c r="P11" i="1"/>
  <c r="V11" i="1"/>
  <c r="Z10" i="1"/>
  <c r="V10" i="1"/>
  <c r="Z9" i="1"/>
  <c r="P9" i="1"/>
  <c r="Z8" i="1"/>
  <c r="V8" i="1"/>
  <c r="Z7" i="1"/>
  <c r="P7" i="1"/>
  <c r="Z6" i="1"/>
  <c r="V6" i="1"/>
  <c r="AB5" i="1"/>
  <c r="W15" i="1" l="1"/>
  <c r="X15" i="1" s="1"/>
  <c r="Y15" i="1" s="1"/>
  <c r="W14" i="1"/>
  <c r="X14" i="1"/>
  <c r="Y14" i="1" s="1"/>
  <c r="R25" i="1"/>
  <c r="W25" i="1"/>
  <c r="W17" i="1"/>
  <c r="W21" i="1"/>
  <c r="W26" i="1"/>
  <c r="W13" i="1"/>
  <c r="T16" i="1"/>
  <c r="T18" i="1"/>
  <c r="W19" i="1"/>
  <c r="W23" i="1"/>
  <c r="T24" i="1"/>
  <c r="V16" i="1"/>
  <c r="N18" i="1"/>
  <c r="R18" i="1"/>
  <c r="N22" i="1"/>
  <c r="R22" i="1" s="1"/>
  <c r="N24" i="1"/>
  <c r="R24" i="1"/>
  <c r="V18" i="1"/>
  <c r="V22" i="1"/>
  <c r="V24" i="1"/>
  <c r="N16" i="1"/>
  <c r="R16" i="1" s="1"/>
  <c r="N20" i="1"/>
  <c r="R20" i="1" s="1"/>
  <c r="T20" i="1"/>
  <c r="T22" i="1"/>
  <c r="V20" i="1"/>
  <c r="T7" i="1"/>
  <c r="W7" i="1" s="1"/>
  <c r="T9" i="1"/>
  <c r="W9" i="1" s="1"/>
  <c r="P6" i="1"/>
  <c r="T6" i="1"/>
  <c r="W6" i="1" s="1"/>
  <c r="P8" i="1"/>
  <c r="T8" i="1"/>
  <c r="W8" i="1" s="1"/>
  <c r="T10" i="1"/>
  <c r="W10" i="1" s="1"/>
  <c r="P10" i="1"/>
  <c r="P12" i="1"/>
  <c r="T12" i="1"/>
  <c r="W12" i="1" s="1"/>
  <c r="T11" i="1"/>
  <c r="W11" i="1" s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X25" i="1" l="1"/>
  <c r="Y25" i="1" s="1"/>
  <c r="W22" i="1"/>
  <c r="W18" i="1"/>
  <c r="X18" i="1" s="1"/>
  <c r="Y18" i="1" s="1"/>
  <c r="W16" i="1"/>
  <c r="X16" i="1" s="1"/>
  <c r="Y16" i="1" s="1"/>
  <c r="X22" i="1"/>
  <c r="Y22" i="1" s="1"/>
  <c r="W20" i="1"/>
  <c r="X20" i="1" s="1"/>
  <c r="Y20" i="1" s="1"/>
  <c r="N23" i="1"/>
  <c r="R23" i="1" s="1"/>
  <c r="X23" i="1" s="1"/>
  <c r="Y23" i="1" s="1"/>
  <c r="N19" i="1"/>
  <c r="R19" i="1" s="1"/>
  <c r="X19" i="1" s="1"/>
  <c r="Y19" i="1" s="1"/>
  <c r="N13" i="1"/>
  <c r="R13" i="1" s="1"/>
  <c r="X13" i="1" s="1"/>
  <c r="Y13" i="1" s="1"/>
  <c r="W24" i="1"/>
  <c r="X24" i="1" s="1"/>
  <c r="Y24" i="1" s="1"/>
  <c r="N26" i="1"/>
  <c r="R26" i="1" s="1"/>
  <c r="X26" i="1" s="1"/>
  <c r="Y26" i="1" s="1"/>
  <c r="N21" i="1"/>
  <c r="R21" i="1" s="1"/>
  <c r="X21" i="1" s="1"/>
  <c r="Y21" i="1" s="1"/>
  <c r="N17" i="1"/>
  <c r="R17" i="1" s="1"/>
  <c r="X17" i="1" s="1"/>
  <c r="Y17" i="1" s="1"/>
  <c r="N10" i="1"/>
  <c r="R10" i="1" s="1"/>
  <c r="X10" i="1" s="1"/>
  <c r="Y10" i="1" s="1"/>
  <c r="N9" i="1"/>
  <c r="R9" i="1"/>
  <c r="X9" i="1" s="1"/>
  <c r="Y9" i="1" s="1"/>
  <c r="N7" i="1"/>
  <c r="R7" i="1" s="1"/>
  <c r="X7" i="1" s="1"/>
  <c r="Y7" i="1" s="1"/>
  <c r="N8" i="1"/>
  <c r="R8" i="1" s="1"/>
  <c r="X8" i="1" s="1"/>
  <c r="Y8" i="1" s="1"/>
  <c r="N12" i="1"/>
  <c r="R12" i="1" s="1"/>
  <c r="X12" i="1" s="1"/>
  <c r="Y12" i="1" s="1"/>
  <c r="N6" i="1"/>
  <c r="R6" i="1" s="1"/>
  <c r="X6" i="1" s="1"/>
  <c r="Y6" i="1" s="1"/>
  <c r="N11" i="1"/>
  <c r="R11" i="1" s="1"/>
  <c r="X11" i="1" s="1"/>
  <c r="Y11" i="1" s="1"/>
  <c r="X27" i="1" l="1"/>
  <c r="Y27" i="1"/>
</calcChain>
</file>

<file path=xl/sharedStrings.xml><?xml version="1.0" encoding="utf-8"?>
<sst xmlns="http://schemas.openxmlformats.org/spreadsheetml/2006/main" count="177" uniqueCount="63">
  <si>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</si>
  <si>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</si>
  <si>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</si>
  <si>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</si>
  <si>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</si>
  <si>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</si>
  <si>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</si>
  <si>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</si>
  <si>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</si>
  <si>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</si>
  <si>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</si>
  <si>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</si>
  <si>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</si>
  <si>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</si>
  <si>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wartość ciepła spalania 39,5 MJ/m3.</t>
    </r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</si>
  <si>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</si>
  <si>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</si>
  <si>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</si>
  <si>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</si>
  <si>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</si>
  <si>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</si>
  <si>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</si>
  <si>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</si>
  <si>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</si>
  <si>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t xml:space="preserve">Cena jednostkowa za paliwo gazowe, którego nie obejmuje ochrona taryfowa, z akcyzą 1,38 zł/GJ*
</t>
    </r>
    <r>
      <rPr>
        <sz val="9"/>
        <rFont val="Calibri"/>
        <family val="2"/>
        <charset val="238"/>
        <scheme val="minor"/>
      </rPr>
      <t>[gr/kWh]
(kol. 15 + 0,39)</t>
    </r>
  </si>
  <si>
    <r>
      <rPr>
        <b/>
        <sz val="9"/>
        <rFont val="Calibri"/>
        <family val="2"/>
        <charset val="238"/>
        <scheme val="minor"/>
      </rPr>
      <t>Opłata handlowa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</si>
  <si>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</si>
  <si>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</si>
  <si>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</si>
  <si>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</si>
  <si>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</si>
  <si>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</si>
  <si>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</si>
  <si>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t xml:space="preserve">Cena jednostkowa za paliwo gazowe objęte ochroną taryfową**, z akcyzą 1,38 zł/GJ*
</t>
    </r>
    <r>
      <rPr>
        <sz val="9"/>
        <rFont val="Calibri"/>
        <family val="2"/>
        <charset val="238"/>
        <scheme val="minor"/>
      </rPr>
      <t>[gr/kWh]
(kol. 13 + 0,39)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</si>
  <si>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</si>
  <si>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Tabela A</t>
  </si>
  <si>
    <t>(B)W-2.1</t>
  </si>
  <si>
    <t>(B)W-4</t>
  </si>
  <si>
    <t>(B)W-5</t>
  </si>
  <si>
    <t>Czy dane punkty poboru podlegają pełnej lub częściowej ochronie taryfowej</t>
  </si>
  <si>
    <t>nie</t>
  </si>
  <si>
    <t>tak</t>
  </si>
  <si>
    <t>01.04.2024 – 30.06.2025</t>
  </si>
  <si>
    <t>W-1.1_WA</t>
  </si>
  <si>
    <t>(B)W-1.1</t>
  </si>
  <si>
    <t>PSG Sp. z o.o. - Warszawa</t>
  </si>
  <si>
    <t>W-2.1_TA</t>
  </si>
  <si>
    <t>PSG Sp. z o.o. - Tarnów</t>
  </si>
  <si>
    <t>W-2.1_WA</t>
  </si>
  <si>
    <t>W-3.6_TA</t>
  </si>
  <si>
    <t>(B)W-3.6</t>
  </si>
  <si>
    <t>W-3.6_WA</t>
  </si>
  <si>
    <t>W-4_WA</t>
  </si>
  <si>
    <t>W-5.1_WA</t>
  </si>
  <si>
    <t>W-1.1_TA</t>
  </si>
  <si>
    <t>W-4_TA</t>
  </si>
  <si>
    <t>W-5.1_TA</t>
  </si>
  <si>
    <t>W-6A.1_TA</t>
  </si>
  <si>
    <t>(B)W-6</t>
  </si>
  <si>
    <t>(B)W-2.12T</t>
  </si>
  <si>
    <t>(B)W-3.12T</t>
  </si>
  <si>
    <t>(B)W-1.12T</t>
  </si>
  <si>
    <t>** Dla odbiorców, o których mowa w art. 62b ust. 1 pkt 2 ustawy Prawo energetyczne, zastosowano stawki opłat dystrybucyjnych wskazane w Rozdziale 17. Taryfy nr 12 dla Usług Dystrybucji Paliw Gazowych Polskiej Spółki Gazownictwa sp. z o.o. Dla pozostałych odbiorców natomiast zastosowano stawki opłat wskazane w Rozdziale 6. tejże Taryfy. Stawki opłat wskazane w niniejszym formularzu służą porównaniu ofert, natomiast Zamawiający dopuszcza, że mogą one ulec zmianie oraz że rzeczywiste rozliczenia w powyższym zakresie będą prowadzone na podstawie zasad, cen i stawek opłat określonych w obowiązującej w okresie dostawy Taryfie dla Usług Dystrybucji Paliw Gazowych.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</si>
</sst>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5"/>
  <sheetViews>
    <sheetView tabSelected="1" topLeftCell="A22" zoomScale="85" zoomScaleNormal="85" workbookViewId="0">
      <selection activeCell="A30" sqref="A30:N30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6" width="15.8867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3.88671875" style="9" customWidth="1"/>
    <col min="26" max="26" width="7.88671875" customWidth="1"/>
    <col min="27" max="27" width="20.33203125" customWidth="1"/>
    <col min="28" max="28" width="9.88671875" bestFit="1" customWidth="1"/>
  </cols>
  <sheetData>
    <row r="1" spans="1:28" ht="15.75" customHeight="1" x14ac:dyDescent="0.3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28" ht="15.75" customHeight="1" x14ac:dyDescent="0.3">
      <c r="A2" s="29" t="s">
        <v>35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24" customHeight="1" x14ac:dyDescent="0.3">
      <c r="A3" s="25" t="s">
        <v>17</v>
      </c>
      <c r="B3" s="30" t="s">
        <v>18</v>
      </c>
      <c r="C3" s="25" t="s">
        <v>0</v>
      </c>
      <c r="D3" s="25" t="s">
        <v>7</v>
      </c>
      <c r="E3" s="26" t="s">
        <v>19</v>
      </c>
      <c r="F3" s="26" t="s">
        <v>20</v>
      </c>
      <c r="G3" s="26" t="s">
        <v>21</v>
      </c>
      <c r="H3" s="26" t="s">
        <v>22</v>
      </c>
      <c r="I3" s="26" t="s">
        <v>8</v>
      </c>
      <c r="J3" s="25" t="s">
        <v>1</v>
      </c>
      <c r="K3" s="25" t="s">
        <v>2</v>
      </c>
      <c r="L3" s="25" t="s">
        <v>3</v>
      </c>
      <c r="M3" s="27" t="s">
        <v>9</v>
      </c>
      <c r="N3" s="27"/>
      <c r="O3" s="27"/>
      <c r="P3" s="27"/>
      <c r="Q3" s="27"/>
      <c r="R3" s="27"/>
      <c r="S3" s="27" t="s">
        <v>10</v>
      </c>
      <c r="T3" s="27"/>
      <c r="U3" s="27"/>
      <c r="V3" s="27"/>
      <c r="W3" s="27"/>
      <c r="X3" s="1" t="s">
        <v>11</v>
      </c>
      <c r="Y3" s="1" t="s">
        <v>12</v>
      </c>
      <c r="Z3" s="1"/>
      <c r="AA3" s="12"/>
      <c r="AB3" s="12"/>
    </row>
    <row r="4" spans="1:28" ht="144" x14ac:dyDescent="0.3">
      <c r="A4" s="25"/>
      <c r="B4" s="31"/>
      <c r="C4" s="25"/>
      <c r="D4" s="25"/>
      <c r="E4" s="26"/>
      <c r="F4" s="26"/>
      <c r="G4" s="26"/>
      <c r="H4" s="26"/>
      <c r="I4" s="26"/>
      <c r="J4" s="25"/>
      <c r="K4" s="25"/>
      <c r="L4" s="25"/>
      <c r="M4" s="17" t="s">
        <v>34</v>
      </c>
      <c r="N4" s="16" t="s">
        <v>33</v>
      </c>
      <c r="O4" s="17" t="s">
        <v>23</v>
      </c>
      <c r="P4" s="16" t="s">
        <v>24</v>
      </c>
      <c r="Q4" s="17" t="s">
        <v>25</v>
      </c>
      <c r="R4" s="17" t="s">
        <v>26</v>
      </c>
      <c r="S4" s="17" t="s">
        <v>27</v>
      </c>
      <c r="T4" s="17" t="s">
        <v>28</v>
      </c>
      <c r="U4" s="16" t="s">
        <v>6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15</v>
      </c>
      <c r="AA4" s="13" t="s">
        <v>16</v>
      </c>
      <c r="AB4" s="13" t="s">
        <v>39</v>
      </c>
    </row>
    <row r="5" spans="1:28" ht="12.75" customHeight="1" x14ac:dyDescent="0.3">
      <c r="A5" s="2" t="str">
        <f>"-1-"</f>
        <v>-1-</v>
      </c>
      <c r="B5" s="2" t="str">
        <f>"-2-"</f>
        <v>-2-</v>
      </c>
      <c r="C5" s="2" t="str">
        <f>"-3-"</f>
        <v>-3-</v>
      </c>
      <c r="D5" s="2" t="str">
        <f>"-4-"</f>
        <v>-4-</v>
      </c>
      <c r="E5" s="2" t="str">
        <f>"-5-"</f>
        <v>-5-</v>
      </c>
      <c r="F5" s="2" t="str">
        <f>"-6-"</f>
        <v>-6-</v>
      </c>
      <c r="G5" s="2" t="str">
        <f>"-7-"</f>
        <v>-7-</v>
      </c>
      <c r="H5" s="2" t="str">
        <f>"-8-"</f>
        <v>-8-</v>
      </c>
      <c r="I5" s="2" t="str">
        <f>"-9-"</f>
        <v>-9-</v>
      </c>
      <c r="J5" s="2" t="str">
        <f>"-10-"</f>
        <v>-10-</v>
      </c>
      <c r="K5" s="2" t="str">
        <f>"-11-"</f>
        <v>-11-</v>
      </c>
      <c r="L5" s="2" t="str">
        <f>"-12-"</f>
        <v>-12-</v>
      </c>
      <c r="M5" s="2" t="str">
        <f>"-13-"</f>
        <v>-13-</v>
      </c>
      <c r="N5" s="2" t="str">
        <f>"-14-"</f>
        <v>-14-</v>
      </c>
      <c r="O5" s="2" t="str">
        <f>"-15-"</f>
        <v>-15-</v>
      </c>
      <c r="P5" s="2" t="str">
        <f>"-16-"</f>
        <v>-16-</v>
      </c>
      <c r="Q5" s="2" t="str">
        <f>"-17-"</f>
        <v>-17-</v>
      </c>
      <c r="R5" s="2" t="str">
        <f>"-18-"</f>
        <v>-18-</v>
      </c>
      <c r="S5" s="2" t="str">
        <f>"-19-"</f>
        <v>-19-</v>
      </c>
      <c r="T5" s="2" t="str">
        <f>"-20-"</f>
        <v>-20-</v>
      </c>
      <c r="U5" s="2" t="str">
        <f>"-21-"</f>
        <v>-21-</v>
      </c>
      <c r="V5" s="14" t="str">
        <f>"-22-"</f>
        <v>-22-</v>
      </c>
      <c r="W5" s="2" t="str">
        <f>"-23-"</f>
        <v>-23-</v>
      </c>
      <c r="X5" s="2" t="str">
        <f>"-24-"</f>
        <v>-24-</v>
      </c>
      <c r="Y5" s="2" t="str">
        <f>"-25-"</f>
        <v>-25-</v>
      </c>
      <c r="Z5" s="2" t="str">
        <f>"-26-"</f>
        <v>-26-</v>
      </c>
      <c r="AA5" s="2" t="str">
        <f>"-27-"</f>
        <v>-27-</v>
      </c>
      <c r="AB5" s="2" t="str">
        <f>"-28-"</f>
        <v>-28-</v>
      </c>
    </row>
    <row r="6" spans="1:28" ht="22.2" customHeight="1" x14ac:dyDescent="0.3">
      <c r="A6" s="2" t="s">
        <v>54</v>
      </c>
      <c r="B6" s="2" t="s">
        <v>61</v>
      </c>
      <c r="C6" s="2">
        <v>1</v>
      </c>
      <c r="D6" s="3" t="s">
        <v>4</v>
      </c>
      <c r="E6" s="4">
        <v>0</v>
      </c>
      <c r="F6" s="4">
        <v>0</v>
      </c>
      <c r="G6" s="4">
        <v>4050</v>
      </c>
      <c r="H6" s="4">
        <v>0</v>
      </c>
      <c r="I6" s="4">
        <v>4050</v>
      </c>
      <c r="J6" s="4">
        <v>15</v>
      </c>
      <c r="K6" s="4" t="s">
        <v>4</v>
      </c>
      <c r="L6" s="5" t="s">
        <v>47</v>
      </c>
      <c r="M6" s="18"/>
      <c r="N6" s="6" t="str">
        <f t="shared" ref="N6:N26" si="0">IF(ROUND(M6,3)=0,"",ROUND(M6,3)+0.39)</f>
        <v/>
      </c>
      <c r="O6" s="18"/>
      <c r="P6" s="6" t="str">
        <f t="shared" ref="P6:P26" si="1">IF(ROUND(O6,3)=0,"",ROUND(O6,3)+0.39)</f>
        <v/>
      </c>
      <c r="Q6" s="19"/>
      <c r="R6" s="7" t="str">
        <f t="shared" ref="R6:R26" si="2">IFERROR(IF(ROUND(M6,3)&gt;0,ROUND(E6*ROUND(M6,3)/100+F6*N6/100
+G6*ROUND(O6,3)/100+H6*P6/100
+ROUND(Q6,2)*J6*C6,2),""),"")</f>
        <v/>
      </c>
      <c r="S6" s="8">
        <v>4.5999999999999996</v>
      </c>
      <c r="T6" s="7">
        <f t="shared" ref="T6:T26" si="3">ROUND(IF(D6="nd.",C6*S6*J6,(K6*24*D6*S6)/100),2)</f>
        <v>69</v>
      </c>
      <c r="U6" s="8">
        <v>6.7640000000000002</v>
      </c>
      <c r="V6" s="7">
        <f t="shared" ref="V6:V26" si="4">ROUND(U6*I6/100,2)</f>
        <v>273.94</v>
      </c>
      <c r="W6" s="7">
        <f t="shared" ref="W6:W26" si="5">T6+V6</f>
        <v>342.94</v>
      </c>
      <c r="X6" s="7" t="str">
        <f t="shared" ref="X6:X26" si="6">IF(M6&gt;0,R6+W6,"")</f>
        <v/>
      </c>
      <c r="Y6" s="7" t="str">
        <f t="shared" ref="Y6:Y26" si="7">IF(M6&gt;0,ROUND(X6*(1+Z6),2),"")</f>
        <v/>
      </c>
      <c r="Z6" s="15">
        <f>23%</f>
        <v>0.23</v>
      </c>
      <c r="AA6" s="14" t="s">
        <v>42</v>
      </c>
      <c r="AB6" s="14" t="s">
        <v>40</v>
      </c>
    </row>
    <row r="7" spans="1:28" ht="22.2" customHeight="1" x14ac:dyDescent="0.3">
      <c r="A7" s="2" t="s">
        <v>46</v>
      </c>
      <c r="B7" s="2" t="s">
        <v>59</v>
      </c>
      <c r="C7" s="2">
        <v>1</v>
      </c>
      <c r="D7" s="3" t="s">
        <v>4</v>
      </c>
      <c r="E7" s="4">
        <v>0</v>
      </c>
      <c r="F7" s="4">
        <v>0</v>
      </c>
      <c r="G7" s="4">
        <v>13002</v>
      </c>
      <c r="H7" s="4">
        <v>0</v>
      </c>
      <c r="I7" s="4">
        <v>13002</v>
      </c>
      <c r="J7" s="4">
        <v>15</v>
      </c>
      <c r="K7" s="4" t="s">
        <v>4</v>
      </c>
      <c r="L7" s="5" t="s">
        <v>47</v>
      </c>
      <c r="M7" s="18"/>
      <c r="N7" s="6" t="str">
        <f t="shared" si="0"/>
        <v/>
      </c>
      <c r="O7" s="18"/>
      <c r="P7" s="6" t="str">
        <f t="shared" si="1"/>
        <v/>
      </c>
      <c r="Q7" s="19"/>
      <c r="R7" s="7" t="str">
        <f t="shared" si="2"/>
        <v/>
      </c>
      <c r="S7" s="8">
        <v>11.7</v>
      </c>
      <c r="T7" s="7">
        <f t="shared" si="3"/>
        <v>175.5</v>
      </c>
      <c r="U7" s="8">
        <v>4.92</v>
      </c>
      <c r="V7" s="7">
        <f t="shared" si="4"/>
        <v>639.70000000000005</v>
      </c>
      <c r="W7" s="7">
        <f t="shared" si="5"/>
        <v>815.2</v>
      </c>
      <c r="X7" s="7" t="str">
        <f t="shared" si="6"/>
        <v/>
      </c>
      <c r="Y7" s="7" t="str">
        <f t="shared" si="7"/>
        <v/>
      </c>
      <c r="Z7" s="15">
        <f>23%</f>
        <v>0.23</v>
      </c>
      <c r="AA7" s="14" t="s">
        <v>42</v>
      </c>
      <c r="AB7" s="14" t="s">
        <v>40</v>
      </c>
    </row>
    <row r="8" spans="1:28" ht="22.2" customHeight="1" x14ac:dyDescent="0.3">
      <c r="A8" s="2" t="s">
        <v>46</v>
      </c>
      <c r="B8" s="2" t="s">
        <v>36</v>
      </c>
      <c r="C8" s="2">
        <v>1</v>
      </c>
      <c r="D8" s="3" t="s">
        <v>4</v>
      </c>
      <c r="E8" s="4">
        <v>0</v>
      </c>
      <c r="F8" s="4">
        <v>0</v>
      </c>
      <c r="G8" s="4">
        <v>15750</v>
      </c>
      <c r="H8" s="4">
        <v>0</v>
      </c>
      <c r="I8" s="4">
        <v>15750</v>
      </c>
      <c r="J8" s="4">
        <v>15</v>
      </c>
      <c r="K8" s="4" t="s">
        <v>4</v>
      </c>
      <c r="L8" s="5" t="s">
        <v>47</v>
      </c>
      <c r="M8" s="18"/>
      <c r="N8" s="6" t="str">
        <f t="shared" si="0"/>
        <v/>
      </c>
      <c r="O8" s="18"/>
      <c r="P8" s="6" t="str">
        <f t="shared" si="1"/>
        <v/>
      </c>
      <c r="Q8" s="19"/>
      <c r="R8" s="7" t="str">
        <f t="shared" si="2"/>
        <v/>
      </c>
      <c r="S8" s="8">
        <v>11.7</v>
      </c>
      <c r="T8" s="7">
        <f t="shared" si="3"/>
        <v>175.5</v>
      </c>
      <c r="U8" s="8">
        <v>4.92</v>
      </c>
      <c r="V8" s="7">
        <f t="shared" si="4"/>
        <v>774.9</v>
      </c>
      <c r="W8" s="7">
        <f t="shared" si="5"/>
        <v>950.4</v>
      </c>
      <c r="X8" s="7" t="str">
        <f t="shared" si="6"/>
        <v/>
      </c>
      <c r="Y8" s="7" t="str">
        <f t="shared" si="7"/>
        <v/>
      </c>
      <c r="Z8" s="15">
        <f>23%</f>
        <v>0.23</v>
      </c>
      <c r="AA8" s="14" t="s">
        <v>42</v>
      </c>
      <c r="AB8" s="14" t="s">
        <v>40</v>
      </c>
    </row>
    <row r="9" spans="1:28" ht="22.2" customHeight="1" x14ac:dyDescent="0.3">
      <c r="A9" s="2" t="s">
        <v>48</v>
      </c>
      <c r="B9" s="2" t="s">
        <v>59</v>
      </c>
      <c r="C9" s="2">
        <v>1</v>
      </c>
      <c r="D9" s="3" t="s">
        <v>4</v>
      </c>
      <c r="E9" s="4">
        <v>0</v>
      </c>
      <c r="F9" s="4">
        <v>0</v>
      </c>
      <c r="G9" s="4">
        <v>15803</v>
      </c>
      <c r="H9" s="4">
        <v>0</v>
      </c>
      <c r="I9" s="4">
        <v>15803</v>
      </c>
      <c r="J9" s="4">
        <v>15</v>
      </c>
      <c r="K9" s="4" t="s">
        <v>4</v>
      </c>
      <c r="L9" s="5" t="s">
        <v>45</v>
      </c>
      <c r="M9" s="18"/>
      <c r="N9" s="6" t="str">
        <f t="shared" si="0"/>
        <v/>
      </c>
      <c r="O9" s="18"/>
      <c r="P9" s="6" t="str">
        <f t="shared" si="1"/>
        <v/>
      </c>
      <c r="Q9" s="19"/>
      <c r="R9" s="7" t="str">
        <f t="shared" si="2"/>
        <v/>
      </c>
      <c r="S9" s="8">
        <v>14.8</v>
      </c>
      <c r="T9" s="7">
        <f t="shared" si="3"/>
        <v>222</v>
      </c>
      <c r="U9" s="8">
        <v>3.5649999999999999</v>
      </c>
      <c r="V9" s="7">
        <f t="shared" si="4"/>
        <v>563.38</v>
      </c>
      <c r="W9" s="7">
        <f t="shared" si="5"/>
        <v>785.38</v>
      </c>
      <c r="X9" s="7" t="str">
        <f t="shared" si="6"/>
        <v/>
      </c>
      <c r="Y9" s="7" t="str">
        <f t="shared" si="7"/>
        <v/>
      </c>
      <c r="Z9" s="15">
        <f>23%</f>
        <v>0.23</v>
      </c>
      <c r="AA9" s="14" t="s">
        <v>42</v>
      </c>
      <c r="AB9" s="14" t="s">
        <v>40</v>
      </c>
    </row>
    <row r="10" spans="1:28" ht="22.2" customHeight="1" x14ac:dyDescent="0.3">
      <c r="A10" s="2" t="s">
        <v>49</v>
      </c>
      <c r="B10" s="2" t="s">
        <v>50</v>
      </c>
      <c r="C10" s="2">
        <v>2</v>
      </c>
      <c r="D10" s="3" t="s">
        <v>4</v>
      </c>
      <c r="E10" s="4">
        <v>0</v>
      </c>
      <c r="F10" s="4">
        <v>0</v>
      </c>
      <c r="G10" s="4">
        <v>131919</v>
      </c>
      <c r="H10" s="4">
        <v>0</v>
      </c>
      <c r="I10" s="4">
        <v>131919</v>
      </c>
      <c r="J10" s="4">
        <v>15</v>
      </c>
      <c r="K10" s="4" t="s">
        <v>4</v>
      </c>
      <c r="L10" s="5" t="s">
        <v>47</v>
      </c>
      <c r="M10" s="18"/>
      <c r="N10" s="6" t="str">
        <f t="shared" si="0"/>
        <v/>
      </c>
      <c r="O10" s="18"/>
      <c r="P10" s="6" t="str">
        <f t="shared" si="1"/>
        <v/>
      </c>
      <c r="Q10" s="19"/>
      <c r="R10" s="7" t="str">
        <f t="shared" si="2"/>
        <v/>
      </c>
      <c r="S10" s="8">
        <v>45.19</v>
      </c>
      <c r="T10" s="7">
        <f t="shared" si="3"/>
        <v>1355.7</v>
      </c>
      <c r="U10" s="8">
        <v>3.6890000000000001</v>
      </c>
      <c r="V10" s="7">
        <f t="shared" si="4"/>
        <v>4866.49</v>
      </c>
      <c r="W10" s="7">
        <f t="shared" si="5"/>
        <v>6222.19</v>
      </c>
      <c r="X10" s="7" t="str">
        <f t="shared" si="6"/>
        <v/>
      </c>
      <c r="Y10" s="7" t="str">
        <f t="shared" si="7"/>
        <v/>
      </c>
      <c r="Z10" s="15">
        <f>23%</f>
        <v>0.23</v>
      </c>
      <c r="AA10" s="14" t="s">
        <v>42</v>
      </c>
      <c r="AB10" s="14" t="s">
        <v>40</v>
      </c>
    </row>
    <row r="11" spans="1:28" ht="22.2" customHeight="1" x14ac:dyDescent="0.3">
      <c r="A11" s="2" t="s">
        <v>51</v>
      </c>
      <c r="B11" s="2" t="s">
        <v>60</v>
      </c>
      <c r="C11" s="2">
        <v>2</v>
      </c>
      <c r="D11" s="3" t="s">
        <v>4</v>
      </c>
      <c r="E11" s="4">
        <v>0</v>
      </c>
      <c r="F11" s="4">
        <v>0</v>
      </c>
      <c r="G11" s="4">
        <v>126042</v>
      </c>
      <c r="H11" s="4">
        <v>0</v>
      </c>
      <c r="I11" s="4">
        <v>126042</v>
      </c>
      <c r="J11" s="4">
        <v>15</v>
      </c>
      <c r="K11" s="4" t="s">
        <v>4</v>
      </c>
      <c r="L11" s="5" t="s">
        <v>45</v>
      </c>
      <c r="M11" s="18"/>
      <c r="N11" s="6" t="str">
        <f t="shared" si="0"/>
        <v/>
      </c>
      <c r="O11" s="18"/>
      <c r="P11" s="6" t="str">
        <f t="shared" si="1"/>
        <v/>
      </c>
      <c r="Q11" s="19"/>
      <c r="R11" s="7" t="str">
        <f t="shared" si="2"/>
        <v/>
      </c>
      <c r="S11" s="8">
        <v>52.05</v>
      </c>
      <c r="T11" s="7">
        <f t="shared" si="3"/>
        <v>1561.5</v>
      </c>
      <c r="U11" s="8">
        <v>3.1419999999999999</v>
      </c>
      <c r="V11" s="7">
        <f t="shared" si="4"/>
        <v>3960.24</v>
      </c>
      <c r="W11" s="7">
        <f t="shared" si="5"/>
        <v>5521.74</v>
      </c>
      <c r="X11" s="7" t="str">
        <f t="shared" si="6"/>
        <v/>
      </c>
      <c r="Y11" s="7" t="str">
        <f t="shared" si="7"/>
        <v/>
      </c>
      <c r="Z11" s="15">
        <f>23%</f>
        <v>0.23</v>
      </c>
      <c r="AA11" s="14" t="s">
        <v>42</v>
      </c>
      <c r="AB11" s="14" t="s">
        <v>40</v>
      </c>
    </row>
    <row r="12" spans="1:28" ht="22.2" customHeight="1" x14ac:dyDescent="0.3">
      <c r="A12" s="2" t="s">
        <v>51</v>
      </c>
      <c r="B12" s="2" t="s">
        <v>50</v>
      </c>
      <c r="C12" s="2">
        <v>1</v>
      </c>
      <c r="D12" s="3" t="s">
        <v>4</v>
      </c>
      <c r="E12" s="4">
        <v>0</v>
      </c>
      <c r="F12" s="4">
        <v>0</v>
      </c>
      <c r="G12" s="4">
        <v>0</v>
      </c>
      <c r="H12" s="4">
        <v>44727</v>
      </c>
      <c r="I12" s="4">
        <v>44727</v>
      </c>
      <c r="J12" s="4">
        <v>15</v>
      </c>
      <c r="K12" s="4" t="s">
        <v>4</v>
      </c>
      <c r="L12" s="5" t="s">
        <v>45</v>
      </c>
      <c r="M12" s="18"/>
      <c r="N12" s="6" t="str">
        <f t="shared" si="0"/>
        <v/>
      </c>
      <c r="O12" s="18"/>
      <c r="P12" s="6" t="str">
        <f t="shared" si="1"/>
        <v/>
      </c>
      <c r="Q12" s="19"/>
      <c r="R12" s="7" t="str">
        <f t="shared" si="2"/>
        <v/>
      </c>
      <c r="S12" s="8">
        <v>52.05</v>
      </c>
      <c r="T12" s="7">
        <f t="shared" si="3"/>
        <v>780.75</v>
      </c>
      <c r="U12" s="8">
        <v>3.1419999999999999</v>
      </c>
      <c r="V12" s="7">
        <f t="shared" si="4"/>
        <v>1405.32</v>
      </c>
      <c r="W12" s="7">
        <f t="shared" si="5"/>
        <v>2186.0699999999997</v>
      </c>
      <c r="X12" s="7" t="str">
        <f t="shared" si="6"/>
        <v/>
      </c>
      <c r="Y12" s="7" t="str">
        <f t="shared" si="7"/>
        <v/>
      </c>
      <c r="Z12" s="15">
        <f>23%</f>
        <v>0.23</v>
      </c>
      <c r="AA12" s="14" t="s">
        <v>42</v>
      </c>
      <c r="AB12" s="14" t="s">
        <v>40</v>
      </c>
    </row>
    <row r="13" spans="1:28" ht="22.2" customHeight="1" x14ac:dyDescent="0.3">
      <c r="A13" s="2" t="s">
        <v>52</v>
      </c>
      <c r="B13" s="2" t="s">
        <v>37</v>
      </c>
      <c r="C13" s="2">
        <v>2</v>
      </c>
      <c r="D13" s="3" t="s">
        <v>4</v>
      </c>
      <c r="E13" s="4">
        <v>0</v>
      </c>
      <c r="F13" s="4">
        <v>0</v>
      </c>
      <c r="G13" s="4">
        <v>248473</v>
      </c>
      <c r="H13" s="4">
        <v>0</v>
      </c>
      <c r="I13" s="4">
        <v>248473</v>
      </c>
      <c r="J13" s="4">
        <v>15</v>
      </c>
      <c r="K13" s="4" t="s">
        <v>4</v>
      </c>
      <c r="L13" s="5" t="s">
        <v>45</v>
      </c>
      <c r="M13" s="18"/>
      <c r="N13" s="6" t="str">
        <f t="shared" si="0"/>
        <v/>
      </c>
      <c r="O13" s="18"/>
      <c r="P13" s="6" t="str">
        <f t="shared" si="1"/>
        <v/>
      </c>
      <c r="Q13" s="19"/>
      <c r="R13" s="7" t="str">
        <f t="shared" si="2"/>
        <v/>
      </c>
      <c r="S13" s="8">
        <v>288.99</v>
      </c>
      <c r="T13" s="7">
        <f t="shared" si="3"/>
        <v>8669.7000000000007</v>
      </c>
      <c r="U13" s="8">
        <v>3.1030000000000002</v>
      </c>
      <c r="V13" s="7">
        <f t="shared" si="4"/>
        <v>7710.12</v>
      </c>
      <c r="W13" s="7">
        <f t="shared" si="5"/>
        <v>16379.82</v>
      </c>
      <c r="X13" s="7" t="str">
        <f t="shared" si="6"/>
        <v/>
      </c>
      <c r="Y13" s="7" t="str">
        <f t="shared" si="7"/>
        <v/>
      </c>
      <c r="Z13" s="15">
        <f>23%</f>
        <v>0.23</v>
      </c>
      <c r="AA13" s="14" t="s">
        <v>42</v>
      </c>
      <c r="AB13" s="14" t="s">
        <v>40</v>
      </c>
    </row>
    <row r="14" spans="1:28" ht="22.2" customHeight="1" x14ac:dyDescent="0.3">
      <c r="A14" s="2" t="s">
        <v>53</v>
      </c>
      <c r="B14" s="2" t="s">
        <v>38</v>
      </c>
      <c r="C14" s="2">
        <v>1</v>
      </c>
      <c r="D14" s="3">
        <v>494</v>
      </c>
      <c r="E14" s="4">
        <v>0</v>
      </c>
      <c r="F14" s="4">
        <v>0</v>
      </c>
      <c r="G14" s="4">
        <v>1151545</v>
      </c>
      <c r="H14" s="4">
        <v>0</v>
      </c>
      <c r="I14" s="4">
        <v>1151545</v>
      </c>
      <c r="J14" s="4">
        <v>15</v>
      </c>
      <c r="K14" s="4">
        <v>456</v>
      </c>
      <c r="L14" s="5" t="s">
        <v>45</v>
      </c>
      <c r="M14" s="18"/>
      <c r="N14" s="6" t="str">
        <f t="shared" ref="N14:N15" si="8">IF(ROUND(M14,3)=0,"",ROUND(M14,3)+0.39)</f>
        <v/>
      </c>
      <c r="O14" s="18"/>
      <c r="P14" s="6" t="str">
        <f t="shared" ref="P14:P15" si="9">IF(ROUND(O14,3)=0,"",ROUND(O14,3)+0.39)</f>
        <v/>
      </c>
      <c r="Q14" s="19"/>
      <c r="R14" s="7" t="str">
        <f t="shared" ref="R14:R15" si="10">IFERROR(IF(ROUND(M14,3)&gt;0,ROUND(E14*ROUND(M14,3)/100+F14*N14/100
+G14*ROUND(O14,3)/100+H14*P14/100
+ROUND(Q14,2)*J14*C14,2),""),"")</f>
        <v/>
      </c>
      <c r="S14" s="8">
        <v>0.79500000000000004</v>
      </c>
      <c r="T14" s="7">
        <f t="shared" ref="T14:T15" si="11">ROUND(IF(D14="nd.",C14*S14*J14,(K14*24*D14*S14)/100),2)</f>
        <v>42980.37</v>
      </c>
      <c r="U14" s="8">
        <v>2.2069999999999999</v>
      </c>
      <c r="V14" s="7">
        <f t="shared" ref="V14:V15" si="12">ROUND(U14*I14/100,2)</f>
        <v>25414.6</v>
      </c>
      <c r="W14" s="7">
        <f t="shared" ref="W14:W15" si="13">T14+V14</f>
        <v>68394.97</v>
      </c>
      <c r="X14" s="7" t="str">
        <f t="shared" ref="X14:X15" si="14">IF(M14&gt;0,R14+W14,"")</f>
        <v/>
      </c>
      <c r="Y14" s="7" t="str">
        <f t="shared" ref="Y14:Y15" si="15">IF(M14&gt;0,ROUND(X14*(1+Z14),2),"")</f>
        <v/>
      </c>
      <c r="Z14" s="15">
        <f>23%</f>
        <v>0.23</v>
      </c>
      <c r="AA14" s="14" t="s">
        <v>42</v>
      </c>
      <c r="AB14" s="14" t="s">
        <v>40</v>
      </c>
    </row>
    <row r="15" spans="1:28" ht="22.2" customHeight="1" x14ac:dyDescent="0.3">
      <c r="A15" s="2" t="s">
        <v>54</v>
      </c>
      <c r="B15" s="2" t="s">
        <v>44</v>
      </c>
      <c r="C15" s="2">
        <v>6</v>
      </c>
      <c r="D15" s="3" t="s">
        <v>4</v>
      </c>
      <c r="E15" s="4">
        <v>10365</v>
      </c>
      <c r="F15" s="4">
        <v>0</v>
      </c>
      <c r="G15" s="4">
        <v>0</v>
      </c>
      <c r="H15" s="4">
        <v>0</v>
      </c>
      <c r="I15" s="4">
        <v>10365</v>
      </c>
      <c r="J15" s="4">
        <v>15</v>
      </c>
      <c r="K15" s="4" t="s">
        <v>4</v>
      </c>
      <c r="L15" s="5" t="s">
        <v>47</v>
      </c>
      <c r="M15" s="18"/>
      <c r="N15" s="6" t="str">
        <f t="shared" si="8"/>
        <v/>
      </c>
      <c r="O15" s="18"/>
      <c r="P15" s="6" t="str">
        <f t="shared" si="9"/>
        <v/>
      </c>
      <c r="Q15" s="19"/>
      <c r="R15" s="7" t="str">
        <f t="shared" si="10"/>
        <v/>
      </c>
      <c r="S15" s="8">
        <v>3.55</v>
      </c>
      <c r="T15" s="7">
        <f t="shared" si="11"/>
        <v>319.5</v>
      </c>
      <c r="U15" s="8">
        <v>5.3760000000000003</v>
      </c>
      <c r="V15" s="7">
        <f t="shared" si="12"/>
        <v>557.22</v>
      </c>
      <c r="W15" s="7">
        <f t="shared" si="13"/>
        <v>876.72</v>
      </c>
      <c r="X15" s="7" t="str">
        <f t="shared" si="14"/>
        <v/>
      </c>
      <c r="Y15" s="7" t="str">
        <f t="shared" si="15"/>
        <v/>
      </c>
      <c r="Z15" s="15">
        <f>23%</f>
        <v>0.23</v>
      </c>
      <c r="AA15" s="14" t="s">
        <v>42</v>
      </c>
      <c r="AB15" s="14" t="s">
        <v>41</v>
      </c>
    </row>
    <row r="16" spans="1:28" ht="22.2" customHeight="1" x14ac:dyDescent="0.3">
      <c r="A16" s="2" t="s">
        <v>43</v>
      </c>
      <c r="B16" s="2" t="s">
        <v>44</v>
      </c>
      <c r="C16" s="2">
        <v>1</v>
      </c>
      <c r="D16" s="3" t="s">
        <v>4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15</v>
      </c>
      <c r="K16" s="4" t="s">
        <v>4</v>
      </c>
      <c r="L16" s="5" t="s">
        <v>45</v>
      </c>
      <c r="M16" s="18"/>
      <c r="N16" s="6" t="str">
        <f t="shared" si="0"/>
        <v/>
      </c>
      <c r="O16" s="18"/>
      <c r="P16" s="6" t="str">
        <f t="shared" si="1"/>
        <v/>
      </c>
      <c r="Q16" s="19"/>
      <c r="R16" s="7" t="str">
        <f t="shared" si="2"/>
        <v/>
      </c>
      <c r="S16" s="8">
        <v>3.82</v>
      </c>
      <c r="T16" s="7">
        <f t="shared" si="3"/>
        <v>57.3</v>
      </c>
      <c r="U16" s="8">
        <v>4.5039999999999996</v>
      </c>
      <c r="V16" s="7">
        <f t="shared" si="4"/>
        <v>0</v>
      </c>
      <c r="W16" s="7">
        <f t="shared" si="5"/>
        <v>57.3</v>
      </c>
      <c r="X16" s="7" t="str">
        <f t="shared" si="6"/>
        <v/>
      </c>
      <c r="Y16" s="7" t="str">
        <f t="shared" si="7"/>
        <v/>
      </c>
      <c r="Z16" s="15">
        <f>23%</f>
        <v>0.23</v>
      </c>
      <c r="AA16" s="14" t="s">
        <v>42</v>
      </c>
      <c r="AB16" s="14" t="s">
        <v>41</v>
      </c>
    </row>
    <row r="17" spans="1:28" ht="22.2" customHeight="1" x14ac:dyDescent="0.3">
      <c r="A17" s="2" t="s">
        <v>46</v>
      </c>
      <c r="B17" s="2" t="s">
        <v>59</v>
      </c>
      <c r="C17" s="2">
        <v>1</v>
      </c>
      <c r="D17" s="3" t="s">
        <v>4</v>
      </c>
      <c r="E17" s="4">
        <v>15591</v>
      </c>
      <c r="F17" s="4">
        <v>0</v>
      </c>
      <c r="G17" s="4">
        <v>0</v>
      </c>
      <c r="H17" s="4">
        <v>0</v>
      </c>
      <c r="I17" s="4">
        <v>15591</v>
      </c>
      <c r="J17" s="4">
        <v>15</v>
      </c>
      <c r="K17" s="4" t="s">
        <v>4</v>
      </c>
      <c r="L17" s="5" t="s">
        <v>47</v>
      </c>
      <c r="M17" s="18"/>
      <c r="N17" s="6" t="str">
        <f t="shared" si="0"/>
        <v/>
      </c>
      <c r="O17" s="18"/>
      <c r="P17" s="6" t="str">
        <f t="shared" si="1"/>
        <v/>
      </c>
      <c r="Q17" s="19"/>
      <c r="R17" s="7" t="str">
        <f t="shared" si="2"/>
        <v/>
      </c>
      <c r="S17" s="8">
        <v>9.0399999999999991</v>
      </c>
      <c r="T17" s="7">
        <f t="shared" si="3"/>
        <v>135.6</v>
      </c>
      <c r="U17" s="8">
        <v>3.91</v>
      </c>
      <c r="V17" s="7">
        <f t="shared" si="4"/>
        <v>609.61</v>
      </c>
      <c r="W17" s="7">
        <f t="shared" si="5"/>
        <v>745.21</v>
      </c>
      <c r="X17" s="7" t="str">
        <f t="shared" si="6"/>
        <v/>
      </c>
      <c r="Y17" s="7" t="str">
        <f t="shared" si="7"/>
        <v/>
      </c>
      <c r="Z17" s="15">
        <f>23%</f>
        <v>0.23</v>
      </c>
      <c r="AA17" s="14" t="s">
        <v>42</v>
      </c>
      <c r="AB17" s="14" t="s">
        <v>41</v>
      </c>
    </row>
    <row r="18" spans="1:28" ht="22.2" customHeight="1" x14ac:dyDescent="0.3">
      <c r="A18" s="2" t="s">
        <v>46</v>
      </c>
      <c r="B18" s="2" t="s">
        <v>36</v>
      </c>
      <c r="C18" s="2">
        <v>17</v>
      </c>
      <c r="D18" s="3" t="s">
        <v>4</v>
      </c>
      <c r="E18" s="4">
        <v>207649</v>
      </c>
      <c r="F18" s="4">
        <v>0</v>
      </c>
      <c r="G18" s="4">
        <v>0</v>
      </c>
      <c r="H18" s="4">
        <v>0</v>
      </c>
      <c r="I18" s="4">
        <v>207649</v>
      </c>
      <c r="J18" s="4">
        <v>15</v>
      </c>
      <c r="K18" s="4" t="s">
        <v>4</v>
      </c>
      <c r="L18" s="5" t="s">
        <v>47</v>
      </c>
      <c r="M18" s="18"/>
      <c r="N18" s="6" t="str">
        <f t="shared" si="0"/>
        <v/>
      </c>
      <c r="O18" s="18"/>
      <c r="P18" s="6" t="str">
        <f t="shared" si="1"/>
        <v/>
      </c>
      <c r="Q18" s="19"/>
      <c r="R18" s="7" t="str">
        <f t="shared" si="2"/>
        <v/>
      </c>
      <c r="S18" s="8">
        <v>9.0399999999999991</v>
      </c>
      <c r="T18" s="7">
        <f t="shared" si="3"/>
        <v>2305.1999999999998</v>
      </c>
      <c r="U18" s="8">
        <v>3.91</v>
      </c>
      <c r="V18" s="7">
        <f t="shared" si="4"/>
        <v>8119.08</v>
      </c>
      <c r="W18" s="7">
        <f t="shared" si="5"/>
        <v>10424.279999999999</v>
      </c>
      <c r="X18" s="7" t="str">
        <f t="shared" si="6"/>
        <v/>
      </c>
      <c r="Y18" s="7" t="str">
        <f t="shared" si="7"/>
        <v/>
      </c>
      <c r="Z18" s="15">
        <f>23%</f>
        <v>0.23</v>
      </c>
      <c r="AA18" s="14" t="s">
        <v>42</v>
      </c>
      <c r="AB18" s="14" t="s">
        <v>41</v>
      </c>
    </row>
    <row r="19" spans="1:28" ht="22.2" customHeight="1" x14ac:dyDescent="0.3">
      <c r="A19" s="2" t="s">
        <v>48</v>
      </c>
      <c r="B19" s="2" t="s">
        <v>36</v>
      </c>
      <c r="C19" s="2">
        <v>2</v>
      </c>
      <c r="D19" s="3" t="s">
        <v>4</v>
      </c>
      <c r="E19" s="4">
        <v>22485</v>
      </c>
      <c r="F19" s="4">
        <v>0</v>
      </c>
      <c r="G19" s="4">
        <v>0</v>
      </c>
      <c r="H19" s="4">
        <v>0</v>
      </c>
      <c r="I19" s="4">
        <v>22485</v>
      </c>
      <c r="J19" s="4">
        <v>15</v>
      </c>
      <c r="K19" s="4" t="s">
        <v>4</v>
      </c>
      <c r="L19" s="5" t="s">
        <v>45</v>
      </c>
      <c r="M19" s="18"/>
      <c r="N19" s="6" t="str">
        <f t="shared" si="0"/>
        <v/>
      </c>
      <c r="O19" s="18"/>
      <c r="P19" s="6" t="str">
        <f t="shared" si="1"/>
        <v/>
      </c>
      <c r="Q19" s="19"/>
      <c r="R19" s="7" t="str">
        <f t="shared" si="2"/>
        <v/>
      </c>
      <c r="S19" s="8">
        <v>11.43</v>
      </c>
      <c r="T19" s="7">
        <f t="shared" si="3"/>
        <v>342.9</v>
      </c>
      <c r="U19" s="8">
        <v>2.8319999999999999</v>
      </c>
      <c r="V19" s="7">
        <f t="shared" si="4"/>
        <v>636.78</v>
      </c>
      <c r="W19" s="7">
        <f t="shared" si="5"/>
        <v>979.68</v>
      </c>
      <c r="X19" s="7" t="str">
        <f t="shared" si="6"/>
        <v/>
      </c>
      <c r="Y19" s="7" t="str">
        <f t="shared" si="7"/>
        <v/>
      </c>
      <c r="Z19" s="15">
        <f>23%</f>
        <v>0.23</v>
      </c>
      <c r="AA19" s="14" t="s">
        <v>42</v>
      </c>
      <c r="AB19" s="14" t="s">
        <v>41</v>
      </c>
    </row>
    <row r="20" spans="1:28" ht="22.2" customHeight="1" x14ac:dyDescent="0.3">
      <c r="A20" s="2" t="s">
        <v>49</v>
      </c>
      <c r="B20" s="2" t="s">
        <v>50</v>
      </c>
      <c r="C20" s="2">
        <v>52</v>
      </c>
      <c r="D20" s="3" t="s">
        <v>4</v>
      </c>
      <c r="E20" s="4">
        <v>2146824</v>
      </c>
      <c r="F20" s="4">
        <v>0</v>
      </c>
      <c r="G20" s="4">
        <v>30788</v>
      </c>
      <c r="H20" s="4">
        <v>0</v>
      </c>
      <c r="I20" s="4">
        <v>2177612</v>
      </c>
      <c r="J20" s="4">
        <v>15</v>
      </c>
      <c r="K20" s="4" t="s">
        <v>4</v>
      </c>
      <c r="L20" s="5" t="s">
        <v>47</v>
      </c>
      <c r="M20" s="18"/>
      <c r="N20" s="6" t="str">
        <f t="shared" si="0"/>
        <v/>
      </c>
      <c r="O20" s="18"/>
      <c r="P20" s="6" t="str">
        <f t="shared" si="1"/>
        <v/>
      </c>
      <c r="Q20" s="19"/>
      <c r="R20" s="7" t="str">
        <f t="shared" si="2"/>
        <v/>
      </c>
      <c r="S20" s="8">
        <v>34.9</v>
      </c>
      <c r="T20" s="7">
        <f t="shared" si="3"/>
        <v>27222</v>
      </c>
      <c r="U20" s="8">
        <v>2.931</v>
      </c>
      <c r="V20" s="7">
        <f t="shared" si="4"/>
        <v>63825.81</v>
      </c>
      <c r="W20" s="7">
        <f t="shared" si="5"/>
        <v>91047.81</v>
      </c>
      <c r="X20" s="7" t="str">
        <f t="shared" si="6"/>
        <v/>
      </c>
      <c r="Y20" s="7" t="str">
        <f t="shared" si="7"/>
        <v/>
      </c>
      <c r="Z20" s="15">
        <f>23%</f>
        <v>0.23</v>
      </c>
      <c r="AA20" s="14" t="s">
        <v>42</v>
      </c>
      <c r="AB20" s="14" t="s">
        <v>41</v>
      </c>
    </row>
    <row r="21" spans="1:28" ht="22.2" customHeight="1" x14ac:dyDescent="0.3">
      <c r="A21" s="2" t="s">
        <v>51</v>
      </c>
      <c r="B21" s="2" t="s">
        <v>50</v>
      </c>
      <c r="C21" s="2">
        <v>16</v>
      </c>
      <c r="D21" s="3" t="s">
        <v>4</v>
      </c>
      <c r="E21" s="4">
        <v>602112</v>
      </c>
      <c r="F21" s="4">
        <v>0</v>
      </c>
      <c r="G21" s="4">
        <v>91112</v>
      </c>
      <c r="H21" s="4">
        <v>0</v>
      </c>
      <c r="I21" s="4">
        <v>693224</v>
      </c>
      <c r="J21" s="4">
        <v>15</v>
      </c>
      <c r="K21" s="4" t="s">
        <v>4</v>
      </c>
      <c r="L21" s="5" t="s">
        <v>45</v>
      </c>
      <c r="M21" s="18"/>
      <c r="N21" s="6" t="str">
        <f t="shared" si="0"/>
        <v/>
      </c>
      <c r="O21" s="18"/>
      <c r="P21" s="6" t="str">
        <f t="shared" si="1"/>
        <v/>
      </c>
      <c r="Q21" s="19"/>
      <c r="R21" s="7" t="str">
        <f t="shared" si="2"/>
        <v/>
      </c>
      <c r="S21" s="8">
        <v>40.200000000000003</v>
      </c>
      <c r="T21" s="7">
        <f t="shared" si="3"/>
        <v>9648</v>
      </c>
      <c r="U21" s="8">
        <v>2.4969999999999999</v>
      </c>
      <c r="V21" s="7">
        <f t="shared" si="4"/>
        <v>17309.8</v>
      </c>
      <c r="W21" s="7">
        <f t="shared" si="5"/>
        <v>26957.8</v>
      </c>
      <c r="X21" s="7" t="str">
        <f t="shared" si="6"/>
        <v/>
      </c>
      <c r="Y21" s="7" t="str">
        <f t="shared" si="7"/>
        <v/>
      </c>
      <c r="Z21" s="15">
        <f>23%</f>
        <v>0.23</v>
      </c>
      <c r="AA21" s="14" t="s">
        <v>42</v>
      </c>
      <c r="AB21" s="14" t="s">
        <v>41</v>
      </c>
    </row>
    <row r="22" spans="1:28" ht="22.2" customHeight="1" x14ac:dyDescent="0.3">
      <c r="A22" s="2" t="s">
        <v>55</v>
      </c>
      <c r="B22" s="2" t="s">
        <v>37</v>
      </c>
      <c r="C22" s="2">
        <v>3</v>
      </c>
      <c r="D22" s="3" t="s">
        <v>4</v>
      </c>
      <c r="E22" s="4">
        <v>373656</v>
      </c>
      <c r="F22" s="4">
        <v>0</v>
      </c>
      <c r="G22" s="4">
        <v>130099</v>
      </c>
      <c r="H22" s="4">
        <v>0</v>
      </c>
      <c r="I22" s="4">
        <v>503755</v>
      </c>
      <c r="J22" s="4">
        <v>15</v>
      </c>
      <c r="K22" s="4" t="s">
        <v>4</v>
      </c>
      <c r="L22" s="5" t="s">
        <v>47</v>
      </c>
      <c r="M22" s="18"/>
      <c r="N22" s="6" t="str">
        <f t="shared" si="0"/>
        <v/>
      </c>
      <c r="O22" s="18"/>
      <c r="P22" s="6" t="str">
        <f t="shared" si="1"/>
        <v/>
      </c>
      <c r="Q22" s="19"/>
      <c r="R22" s="7" t="str">
        <f t="shared" si="2"/>
        <v/>
      </c>
      <c r="S22" s="8">
        <v>194.95</v>
      </c>
      <c r="T22" s="7">
        <f t="shared" si="3"/>
        <v>8772.75</v>
      </c>
      <c r="U22" s="8">
        <v>2.8730000000000002</v>
      </c>
      <c r="V22" s="7">
        <f t="shared" si="4"/>
        <v>14472.88</v>
      </c>
      <c r="W22" s="7">
        <f t="shared" si="5"/>
        <v>23245.629999999997</v>
      </c>
      <c r="X22" s="7" t="str">
        <f t="shared" si="6"/>
        <v/>
      </c>
      <c r="Y22" s="7" t="str">
        <f t="shared" si="7"/>
        <v/>
      </c>
      <c r="Z22" s="15">
        <f>23%</f>
        <v>0.23</v>
      </c>
      <c r="AA22" s="14" t="s">
        <v>42</v>
      </c>
      <c r="AB22" s="14" t="s">
        <v>41</v>
      </c>
    </row>
    <row r="23" spans="1:28" ht="22.2" customHeight="1" x14ac:dyDescent="0.3">
      <c r="A23" s="2" t="s">
        <v>52</v>
      </c>
      <c r="B23" s="2" t="s">
        <v>37</v>
      </c>
      <c r="C23" s="2">
        <v>7</v>
      </c>
      <c r="D23" s="3" t="s">
        <v>4</v>
      </c>
      <c r="E23" s="4">
        <v>1142400</v>
      </c>
      <c r="F23" s="4">
        <v>0</v>
      </c>
      <c r="G23" s="4">
        <v>23666</v>
      </c>
      <c r="H23" s="4">
        <v>0</v>
      </c>
      <c r="I23" s="4">
        <v>1166066</v>
      </c>
      <c r="J23" s="4">
        <v>15</v>
      </c>
      <c r="K23" s="4" t="s">
        <v>4</v>
      </c>
      <c r="L23" s="5" t="s">
        <v>45</v>
      </c>
      <c r="M23" s="18"/>
      <c r="N23" s="6" t="str">
        <f t="shared" si="0"/>
        <v/>
      </c>
      <c r="O23" s="18"/>
      <c r="P23" s="6" t="str">
        <f t="shared" si="1"/>
        <v/>
      </c>
      <c r="Q23" s="19"/>
      <c r="R23" s="7" t="str">
        <f t="shared" si="2"/>
        <v/>
      </c>
      <c r="S23" s="8">
        <v>223.2</v>
      </c>
      <c r="T23" s="7">
        <f t="shared" si="3"/>
        <v>23436</v>
      </c>
      <c r="U23" s="8">
        <v>2.4649999999999999</v>
      </c>
      <c r="V23" s="7">
        <f t="shared" si="4"/>
        <v>28743.53</v>
      </c>
      <c r="W23" s="7">
        <f t="shared" si="5"/>
        <v>52179.53</v>
      </c>
      <c r="X23" s="7" t="str">
        <f t="shared" si="6"/>
        <v/>
      </c>
      <c r="Y23" s="7" t="str">
        <f t="shared" si="7"/>
        <v/>
      </c>
      <c r="Z23" s="15">
        <f>23%</f>
        <v>0.23</v>
      </c>
      <c r="AA23" s="14" t="s">
        <v>42</v>
      </c>
      <c r="AB23" s="14" t="s">
        <v>41</v>
      </c>
    </row>
    <row r="24" spans="1:28" ht="22.2" customHeight="1" x14ac:dyDescent="0.3">
      <c r="A24" s="2" t="s">
        <v>56</v>
      </c>
      <c r="B24" s="2" t="s">
        <v>38</v>
      </c>
      <c r="C24" s="2">
        <v>12</v>
      </c>
      <c r="D24" s="3">
        <v>2763</v>
      </c>
      <c r="E24" s="4">
        <v>6753600</v>
      </c>
      <c r="F24" s="4">
        <v>0</v>
      </c>
      <c r="G24" s="4">
        <v>0</v>
      </c>
      <c r="H24" s="4">
        <v>0</v>
      </c>
      <c r="I24" s="4">
        <v>6753600</v>
      </c>
      <c r="J24" s="4">
        <v>15</v>
      </c>
      <c r="K24" s="4">
        <v>456</v>
      </c>
      <c r="L24" s="5" t="s">
        <v>47</v>
      </c>
      <c r="M24" s="18"/>
      <c r="N24" s="6" t="str">
        <f t="shared" si="0"/>
        <v/>
      </c>
      <c r="O24" s="18"/>
      <c r="P24" s="6" t="str">
        <f t="shared" si="1"/>
        <v/>
      </c>
      <c r="Q24" s="19"/>
      <c r="R24" s="7" t="str">
        <f t="shared" si="2"/>
        <v/>
      </c>
      <c r="S24" s="8">
        <v>0.505</v>
      </c>
      <c r="T24" s="7">
        <f t="shared" si="3"/>
        <v>152703.26999999999</v>
      </c>
      <c r="U24" s="8">
        <v>2.605</v>
      </c>
      <c r="V24" s="7">
        <f t="shared" si="4"/>
        <v>175931.28</v>
      </c>
      <c r="W24" s="7">
        <f t="shared" si="5"/>
        <v>328634.55</v>
      </c>
      <c r="X24" s="7" t="str">
        <f t="shared" si="6"/>
        <v/>
      </c>
      <c r="Y24" s="7" t="str">
        <f t="shared" si="7"/>
        <v/>
      </c>
      <c r="Z24" s="15">
        <f>23%</f>
        <v>0.23</v>
      </c>
      <c r="AA24" s="14" t="s">
        <v>42</v>
      </c>
      <c r="AB24" s="14" t="s">
        <v>41</v>
      </c>
    </row>
    <row r="25" spans="1:28" ht="22.2" customHeight="1" x14ac:dyDescent="0.3">
      <c r="A25" s="2" t="s">
        <v>53</v>
      </c>
      <c r="B25" s="2" t="s">
        <v>38</v>
      </c>
      <c r="C25" s="2">
        <v>13</v>
      </c>
      <c r="D25" s="3">
        <v>3171</v>
      </c>
      <c r="E25" s="4">
        <v>4402856</v>
      </c>
      <c r="F25" s="4">
        <v>0</v>
      </c>
      <c r="G25" s="4">
        <v>375743</v>
      </c>
      <c r="H25" s="4">
        <v>0</v>
      </c>
      <c r="I25" s="4">
        <v>4778599</v>
      </c>
      <c r="J25" s="4">
        <v>15</v>
      </c>
      <c r="K25" s="4">
        <v>456</v>
      </c>
      <c r="L25" s="5" t="s">
        <v>45</v>
      </c>
      <c r="M25" s="18"/>
      <c r="N25" s="6" t="str">
        <f t="shared" ref="N25" si="16">IF(ROUND(M25,3)=0,"",ROUND(M25,3)+0.39)</f>
        <v/>
      </c>
      <c r="O25" s="18"/>
      <c r="P25" s="6" t="str">
        <f t="shared" ref="P25" si="17">IF(ROUND(O25,3)=0,"",ROUND(O25,3)+0.39)</f>
        <v/>
      </c>
      <c r="Q25" s="19"/>
      <c r="R25" s="7" t="str">
        <f t="shared" ref="R25" si="18">IFERROR(IF(ROUND(M25,3)&gt;0,ROUND(E25*ROUND(M25,3)/100+F25*N25/100
+G25*ROUND(O25,3)/100+H25*P25/100
+ROUND(Q25,2)*J25*C25,2),""),"")</f>
        <v/>
      </c>
      <c r="S25" s="8">
        <v>0.61399999999999999</v>
      </c>
      <c r="T25" s="7">
        <f t="shared" ref="T25" si="19">ROUND(IF(D25="nd.",C25*S25*J25,(K25*24*D25*S25)/100),2)</f>
        <v>213079.02</v>
      </c>
      <c r="U25" s="8">
        <v>1.754</v>
      </c>
      <c r="V25" s="7">
        <f t="shared" ref="V25" si="20">ROUND(U25*I25/100,2)</f>
        <v>83816.63</v>
      </c>
      <c r="W25" s="7">
        <f t="shared" ref="W25" si="21">T25+V25</f>
        <v>296895.65000000002</v>
      </c>
      <c r="X25" s="7" t="str">
        <f t="shared" ref="X25" si="22">IF(M25&gt;0,R25+W25,"")</f>
        <v/>
      </c>
      <c r="Y25" s="7" t="str">
        <f t="shared" ref="Y25" si="23">IF(M25&gt;0,ROUND(X25*(1+Z25),2),"")</f>
        <v/>
      </c>
      <c r="Z25" s="15">
        <f>23%</f>
        <v>0.23</v>
      </c>
      <c r="AA25" s="14" t="s">
        <v>42</v>
      </c>
      <c r="AB25" s="14" t="s">
        <v>41</v>
      </c>
    </row>
    <row r="26" spans="1:28" ht="22.2" customHeight="1" x14ac:dyDescent="0.3">
      <c r="A26" s="2" t="s">
        <v>57</v>
      </c>
      <c r="B26" s="2" t="s">
        <v>58</v>
      </c>
      <c r="C26" s="2">
        <v>1</v>
      </c>
      <c r="D26" s="3">
        <v>1100</v>
      </c>
      <c r="E26" s="4">
        <v>2351220</v>
      </c>
      <c r="F26" s="4">
        <v>0</v>
      </c>
      <c r="G26" s="4">
        <v>0</v>
      </c>
      <c r="H26" s="4">
        <v>0</v>
      </c>
      <c r="I26" s="4">
        <v>2351220</v>
      </c>
      <c r="J26" s="4">
        <v>15</v>
      </c>
      <c r="K26" s="4">
        <v>456</v>
      </c>
      <c r="L26" s="5" t="s">
        <v>47</v>
      </c>
      <c r="M26" s="18"/>
      <c r="N26" s="6" t="str">
        <f t="shared" si="0"/>
        <v/>
      </c>
      <c r="O26" s="18"/>
      <c r="P26" s="6" t="str">
        <f t="shared" si="1"/>
        <v/>
      </c>
      <c r="Q26" s="19"/>
      <c r="R26" s="7" t="str">
        <f t="shared" si="2"/>
        <v/>
      </c>
      <c r="S26" s="8">
        <v>0.46400000000000002</v>
      </c>
      <c r="T26" s="7">
        <f t="shared" si="3"/>
        <v>55858.18</v>
      </c>
      <c r="U26" s="8">
        <v>2.4540000000000002</v>
      </c>
      <c r="V26" s="7">
        <f t="shared" si="4"/>
        <v>57698.94</v>
      </c>
      <c r="W26" s="7">
        <f t="shared" si="5"/>
        <v>113557.12</v>
      </c>
      <c r="X26" s="7" t="str">
        <f t="shared" si="6"/>
        <v/>
      </c>
      <c r="Y26" s="7" t="str">
        <f t="shared" si="7"/>
        <v/>
      </c>
      <c r="Z26" s="15">
        <f>23%</f>
        <v>0.23</v>
      </c>
      <c r="AA26" s="14" t="s">
        <v>42</v>
      </c>
      <c r="AB26" s="14" t="s">
        <v>41</v>
      </c>
    </row>
    <row r="27" spans="1:28" ht="22.2" customHeight="1" x14ac:dyDescent="0.3">
      <c r="H27" s="11" t="s">
        <v>5</v>
      </c>
      <c r="I27" s="21">
        <f>IF(SUM(I6:I26)&gt;0,SUM(I6:I26),"")</f>
        <v>20431477</v>
      </c>
      <c r="W27" s="11" t="s">
        <v>5</v>
      </c>
      <c r="X27" s="7" t="str">
        <f>IF(SUM(X6:X26)&gt;0,SUM(X6:X26),"")</f>
        <v/>
      </c>
      <c r="Y27" s="7" t="str">
        <f>IF(SUM(Y6:Y26)&gt;0,SUM(Y6:Y26),"")</f>
        <v/>
      </c>
    </row>
    <row r="28" spans="1:28" ht="22.2" customHeight="1" x14ac:dyDescent="0.3">
      <c r="W28" s="11"/>
      <c r="X28" s="20"/>
      <c r="Y28" s="20"/>
    </row>
    <row r="29" spans="1:28" ht="41.4" customHeight="1" x14ac:dyDescent="0.3">
      <c r="A29" s="22" t="s">
        <v>14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4"/>
    </row>
    <row r="30" spans="1:28" ht="70.2" customHeight="1" x14ac:dyDescent="0.3">
      <c r="A30" s="22" t="s">
        <v>62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4" ht="15.6" customHeight="1" x14ac:dyDescent="0.3"/>
    <row r="35" ht="15.6" customHeight="1" x14ac:dyDescent="0.3"/>
    <row r="55" spans="15:15" x14ac:dyDescent="0.3">
      <c r="O55" s="10"/>
    </row>
  </sheetData>
  <sheetProtection algorithmName="SHA-512" hashValue="IXzWAhaeOAJpklNhKNCUlE4UUiUwTckukvM9+q4j4xw/vUWk93mMDrAz1GRfqU9mu+VZQKxiQcYU9L2vS9xFMQ==" saltValue="qeLzhWAdvfojMFPvBmSTbQ==" spinCount="100000" sheet="1" objects="1" scenarios="1"/>
  <protectedRanges>
    <protectedRange sqref="M6:M26" name="Rozstęp3"/>
    <protectedRange sqref="O6:O26" name="Rozstęp1"/>
    <protectedRange sqref="Q6:Q26" name="Rozstęp2"/>
  </protectedRanges>
  <autoFilter ref="A5:AA30" xr:uid="{00000000-0001-0000-0000-000000000000}"/>
  <mergeCells count="18">
    <mergeCell ref="A1:AB1"/>
    <mergeCell ref="A2:AB2"/>
    <mergeCell ref="S3:W3"/>
    <mergeCell ref="A3:A4"/>
    <mergeCell ref="B3:B4"/>
    <mergeCell ref="C3:C4"/>
    <mergeCell ref="I3:I4"/>
    <mergeCell ref="J3:J4"/>
    <mergeCell ref="K3:K4"/>
    <mergeCell ref="L3:L4"/>
    <mergeCell ref="A29:N29"/>
    <mergeCell ref="A30:N30"/>
    <mergeCell ref="D3:D4"/>
    <mergeCell ref="E3:E4"/>
    <mergeCell ref="F3:F4"/>
    <mergeCell ref="G3:G4"/>
    <mergeCell ref="H3:H4"/>
    <mergeCell ref="M3:R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2023-10-26T12:52:53Z</cp:lastPrinted>
  <dcterms:created xsi:type="dcterms:W3CDTF">2015-06-05T18:19:34Z</dcterms:created>
  <dcterms:modified xsi:type="dcterms:W3CDTF">2024-01-19T13:10:00Z</dcterms:modified>
</cp:coreProperties>
</file>